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1"/>
  </bookViews>
  <sheets>
    <sheet name="2021 Смета членские" sheetId="5" r:id="rId1"/>
    <sheet name="2021 ФЭО членские" sheetId="4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H25" i="5" l="1"/>
  <c r="G29" i="5"/>
  <c r="G27" i="5"/>
  <c r="G25" i="5" l="1"/>
  <c r="C12" i="5"/>
  <c r="G12" i="5" s="1"/>
  <c r="H39" i="5" l="1"/>
  <c r="H35" i="5"/>
  <c r="E6" i="4"/>
  <c r="H33" i="5" l="1"/>
  <c r="C33" i="5"/>
  <c r="C34" i="5" l="1"/>
  <c r="H5" i="5" l="1"/>
  <c r="H42" i="5" s="1"/>
  <c r="H23" i="5"/>
  <c r="C9" i="4" s="1"/>
  <c r="C40" i="5"/>
  <c r="G23" i="5"/>
  <c r="K34" i="5"/>
  <c r="I34" i="5"/>
  <c r="I22" i="5" l="1"/>
  <c r="C39" i="5"/>
  <c r="C5" i="4"/>
  <c r="E5" i="4" s="1"/>
  <c r="C36" i="5"/>
  <c r="C35" i="5" s="1"/>
  <c r="J34" i="5"/>
  <c r="I33" i="5" l="1"/>
  <c r="J33" i="5" s="1"/>
  <c r="C18" i="5"/>
  <c r="G22" i="5"/>
  <c r="K19" i="5"/>
  <c r="J19" i="5"/>
  <c r="J18" i="5"/>
  <c r="C15" i="5"/>
  <c r="C14" i="5"/>
  <c r="C10" i="5"/>
  <c r="C7" i="5" l="1"/>
  <c r="C8" i="5"/>
  <c r="C9" i="5"/>
  <c r="G11" i="5"/>
  <c r="C13" i="5"/>
  <c r="G14" i="5"/>
  <c r="G15" i="5"/>
  <c r="G16" i="5"/>
  <c r="G17" i="5"/>
  <c r="G18" i="5"/>
  <c r="G19" i="5"/>
  <c r="G20" i="5"/>
  <c r="G21" i="5"/>
  <c r="G33" i="5"/>
  <c r="G35" i="5"/>
  <c r="G36" i="5"/>
  <c r="G39" i="5"/>
  <c r="F5" i="4"/>
  <c r="C5" i="5" l="1"/>
  <c r="C42" i="5" s="1"/>
  <c r="G13" i="5"/>
  <c r="G5" i="5" l="1"/>
  <c r="I21" i="5"/>
  <c r="G42" i="5"/>
</calcChain>
</file>

<file path=xl/sharedStrings.xml><?xml version="1.0" encoding="utf-8"?>
<sst xmlns="http://schemas.openxmlformats.org/spreadsheetml/2006/main" count="132" uniqueCount="70">
  <si>
    <t>Итого:</t>
  </si>
  <si>
    <t>тариф РСО</t>
  </si>
  <si>
    <t>Членские взносы на электроэнергию</t>
  </si>
  <si>
    <t>участок</t>
  </si>
  <si>
    <t>Целевой взнос на очистку озера</t>
  </si>
  <si>
    <t>Содержание дорог</t>
  </si>
  <si>
    <t>Охрана</t>
  </si>
  <si>
    <t>сотка</t>
  </si>
  <si>
    <t>Членский взнос на общие нужды</t>
  </si>
  <si>
    <t>Сумма на единицу измерения</t>
  </si>
  <si>
    <t>Кол-во единиц измерения</t>
  </si>
  <si>
    <t>Расчётная единица</t>
  </si>
  <si>
    <t>Сумма, руб.</t>
  </si>
  <si>
    <t>Наименование</t>
  </si>
  <si>
    <t>№ п/п</t>
  </si>
  <si>
    <t>-</t>
  </si>
  <si>
    <t>ИТОГО:</t>
  </si>
  <si>
    <t>РКО за принятие безналичных платежей, 2-2,5%</t>
  </si>
  <si>
    <t>Очистка озера</t>
  </si>
  <si>
    <t>Целевые взносы</t>
  </si>
  <si>
    <t>Налоги, сборы</t>
  </si>
  <si>
    <t>Обслуживание сайта снт-аэрофлот.рф</t>
  </si>
  <si>
    <t>Канцтовары, обслуживание оргтехники, хознужды, административные</t>
  </si>
  <si>
    <t>Компенсация за использование личного транспорта, мобильную связь, 1000 связь*12 месяцев казначей, 500 связь+1500 бензин*12 месяцев председатель</t>
  </si>
  <si>
    <t>Бухгалтерское сопровождение</t>
  </si>
  <si>
    <t>Зарплатные налоги</t>
  </si>
  <si>
    <t>Водолей, 4 месяца (0,5 май+июнь+июль+август+0,5 сентябрь)*14 000руб.</t>
  </si>
  <si>
    <t>Казначей, 12 месяцев*20 000руб.</t>
  </si>
  <si>
    <t>Председатель, 12 месяцев*20 000руб.</t>
  </si>
  <si>
    <t>в том числе:</t>
  </si>
  <si>
    <t>Вознаграждение членов правления, электрика, водолея, зарплатные налоги всего:</t>
  </si>
  <si>
    <t>Ожидаемый сбор средств, руб.</t>
  </si>
  <si>
    <t>Альтернативная единица измерения</t>
  </si>
  <si>
    <t>Единица измерения</t>
  </si>
  <si>
    <t>Фонд средств на текущее содержание, ремонт, насосной станции, запуск и обслуживание поливной системы</t>
  </si>
  <si>
    <t>40*13600</t>
  </si>
  <si>
    <t>Расходы на благоустройство</t>
  </si>
  <si>
    <t>Прочие поступление/расходы</t>
  </si>
  <si>
    <t>Вывоз мусора, 35 машин в период с мая по сентябрь</t>
  </si>
  <si>
    <t>Прочие поступления</t>
  </si>
  <si>
    <t>Плата за изготовление копий документов</t>
  </si>
  <si>
    <t>лист</t>
  </si>
  <si>
    <t>Ведение счета в банке - ежемесячная  абонентская плата 2089*12</t>
  </si>
  <si>
    <t>Расходы на подготовку и проведение очередного собрания (в том числе на подготовку печатных материалов)</t>
  </si>
  <si>
    <t>Вопрос 2(1). Приходно-расходная смета СНТ "Аэрофлот" на 2021 год</t>
  </si>
  <si>
    <t>Плата за изготовление копий документов составляет 5 рублей за 1 лист документа.</t>
  </si>
  <si>
    <t xml:space="preserve"> Вопрос 2(2). Финансово-экономическое обоснование размера членских и целевых взносов на 2021 год</t>
  </si>
  <si>
    <t>Вознаграждение членов ревизионной комиссии</t>
  </si>
  <si>
    <t>Членские взносы - дополнительные зараты за потреблённую электроэнергию</t>
  </si>
  <si>
    <t>кВт/ч по ИПУ*тариф РСО</t>
  </si>
  <si>
    <t>(кВт/ч по ИПУ*тариф РСО)*81%</t>
  </si>
  <si>
    <t>Членский взнос на 2021 год составляет 350 рублей за сотку + 2800 с участка на охрану + 700 с участка на дороги, срок оплаты - 31.07.2021г.</t>
  </si>
  <si>
    <t xml:space="preserve">Плата для садоводов, ведущих хозяйство без участия в товариществе, рассчитывается в размере и порядке, аналогичных для членских взносов, </t>
  </si>
  <si>
    <t xml:space="preserve"> срок оплаты 31.07.2021г.</t>
  </si>
  <si>
    <t>Целевой взнос на очистку и благоустройство озера на 2021 год составляет 500 рублей с участка, срок оплаты 29.12.2020г.</t>
  </si>
  <si>
    <t>Членский взнос на электроэнергию оплачивается по тарифу РСО по факту, срок оплаты ежемесячно до 5 числа следующего месяца.</t>
  </si>
  <si>
    <t>Членский взнос - дополнительные зараты за потреблённую электроэнергию, срок оплаты ежемесячно до 5 числа следующего месяца, одновременно</t>
  </si>
  <si>
    <t xml:space="preserve"> с оплатой потреблённой электроэнергии.</t>
  </si>
  <si>
    <t>Электроэнергия</t>
  </si>
  <si>
    <t>Наименование статьи расхода членских взносов/вида целевых взносов</t>
  </si>
  <si>
    <t>На оплату индивидуально потребленной электроэнергии, по факту</t>
  </si>
  <si>
    <t>На оплату электроэнергии на общие нужды СНТ, в т.ч. потери, потребление объектами общей инфраструктуры</t>
  </si>
  <si>
    <t>Ежемесячное снятие показаний индивидуальных приборов учёта, периодическое опломбирование счётчиков</t>
  </si>
  <si>
    <t>Фонд устранения аварий и прочих непредвиденных расходов</t>
  </si>
  <si>
    <t>Содержание уличного освещения (установка, замена - работы и материалы)</t>
  </si>
  <si>
    <t>Текущее содержание электросетевого хозяйства</t>
  </si>
  <si>
    <t>№ __________ от _______________________г.</t>
  </si>
  <si>
    <t>Приложение №2(2) к Протоколу общего собрания членов СНТ "Аэрофлот"</t>
  </si>
  <si>
    <t>Приложение №2(1) к Протоколу общего собрания членов СНТ "Аэрофлот"</t>
  </si>
  <si>
    <t>Приложение №3 к Протоколу общего собрания членов СНТ "Аэрофлот"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</si>
</sst>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5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4" fontId="1" fillId="0" borderId="0" xfId="0" applyNumberFormat="1" applyFont="1" applyAlignment="1">
      <alignment horizontal="center"/>
    </xf>
    <xf numFmtId="0" fontId="3" fillId="0" borderId="0" xfId="0" applyFont="1" applyAlignment="1">
      <alignment vertical="center"/>
    </xf>
    <xf numFmtId="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4" fillId="0" borderId="0" xfId="0" applyFont="1"/>
    <xf numFmtId="4" fontId="4" fillId="0" borderId="1" xfId="0" applyNumberFormat="1" applyFont="1" applyBorder="1" applyAlignment="1">
      <alignment horizontal="center" vertical="center"/>
    </xf>
    <xf numFmtId="4" fontId="4" fillId="0" borderId="2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4" fillId="0" borderId="6" xfId="0" applyFont="1" applyBorder="1" applyAlignment="1">
      <alignment horizontal="center" vertical="center"/>
    </xf>
    <xf numFmtId="1" fontId="3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" fontId="1" fillId="0" borderId="0" xfId="0" applyNumberFormat="1" applyFont="1" applyAlignment="1">
      <alignment vertical="center"/>
    </xf>
    <xf numFmtId="2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" fontId="4" fillId="0" borderId="5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" fontId="3" fillId="0" borderId="0" xfId="0" applyNumberFormat="1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4" fontId="4" fillId="0" borderId="7" xfId="0" applyNumberFormat="1" applyFont="1" applyBorder="1" applyAlignment="1">
      <alignment horizontal="center" vertical="center"/>
    </xf>
    <xf numFmtId="4" fontId="4" fillId="0" borderId="5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" fontId="4" fillId="0" borderId="8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/>
    </xf>
    <xf numFmtId="0" fontId="6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4" fontId="4" fillId="0" borderId="3" xfId="0" applyNumberFormat="1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4" fontId="7" fillId="0" borderId="0" xfId="0" applyNumberFormat="1" applyFont="1" applyAlignment="1">
      <alignment horizontal="right"/>
    </xf>
    <xf numFmtId="4" fontId="7" fillId="0" borderId="0" xfId="0" applyNumberFormat="1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4"/>
  <sheetViews>
    <sheetView zoomScale="78" zoomScaleNormal="78" workbookViewId="0">
      <selection activeCell="A2" sqref="A2:XFD2"/>
    </sheetView>
  </sheetViews>
  <sheetFormatPr defaultRowHeight="15.75" x14ac:dyDescent="0.25"/>
  <cols>
    <col min="1" max="1" width="8.140625" style="1" customWidth="1"/>
    <col min="2" max="2" width="113.28515625" style="1" customWidth="1"/>
    <col min="3" max="3" width="18" style="2" customWidth="1"/>
    <col min="4" max="4" width="14.28515625" style="1" hidden="1" customWidth="1"/>
    <col min="5" max="5" width="12.85546875" style="1" hidden="1" customWidth="1"/>
    <col min="6" max="6" width="12" style="1" hidden="1" customWidth="1"/>
    <col min="7" max="7" width="19.5703125" style="1" hidden="1" customWidth="1"/>
    <col min="8" max="8" width="17.140625" style="1" customWidth="1"/>
    <col min="9" max="9" width="13.140625" style="1" hidden="1" customWidth="1"/>
    <col min="10" max="10" width="11.28515625" style="1" hidden="1" customWidth="1"/>
    <col min="11" max="11" width="11.42578125" style="1" hidden="1" customWidth="1"/>
    <col min="12" max="12" width="0" style="1" hidden="1" customWidth="1"/>
    <col min="13" max="16384" width="9.140625" style="1"/>
  </cols>
  <sheetData>
    <row r="1" spans="1:12" ht="19.5" x14ac:dyDescent="0.3">
      <c r="B1" s="44" t="s">
        <v>68</v>
      </c>
      <c r="C1" s="44"/>
      <c r="D1" s="44"/>
      <c r="E1" s="44"/>
      <c r="F1" s="44"/>
      <c r="G1" s="44"/>
      <c r="H1" s="44"/>
    </row>
    <row r="2" spans="1:12" ht="19.5" x14ac:dyDescent="0.3">
      <c r="B2" s="44" t="s">
        <v>66</v>
      </c>
      <c r="C2" s="44"/>
      <c r="D2" s="44"/>
      <c r="E2" s="44"/>
      <c r="F2" s="44"/>
      <c r="G2" s="44"/>
      <c r="H2" s="44"/>
    </row>
    <row r="3" spans="1:12" s="14" customFormat="1" ht="56.25" customHeight="1" x14ac:dyDescent="0.3">
      <c r="A3" s="43" t="s">
        <v>44</v>
      </c>
      <c r="B3" s="43"/>
      <c r="C3" s="43"/>
      <c r="D3" s="43"/>
      <c r="E3" s="43"/>
      <c r="F3" s="43"/>
      <c r="G3" s="43"/>
      <c r="H3" s="43"/>
    </row>
    <row r="4" spans="1:12" s="26" customFormat="1" ht="65.25" customHeight="1" x14ac:dyDescent="0.25">
      <c r="A4" s="27" t="s">
        <v>14</v>
      </c>
      <c r="B4" s="27" t="s">
        <v>59</v>
      </c>
      <c r="C4" s="27" t="s">
        <v>12</v>
      </c>
      <c r="D4" s="28" t="s">
        <v>33</v>
      </c>
      <c r="E4" s="28" t="s">
        <v>32</v>
      </c>
      <c r="F4" s="28" t="s">
        <v>10</v>
      </c>
      <c r="G4" s="28" t="s">
        <v>9</v>
      </c>
      <c r="H4" s="27" t="s">
        <v>31</v>
      </c>
    </row>
    <row r="5" spans="1:12" s="6" customFormat="1" ht="37.5" customHeight="1" x14ac:dyDescent="0.25">
      <c r="A5" s="41">
        <v>1</v>
      </c>
      <c r="B5" s="8" t="s">
        <v>30</v>
      </c>
      <c r="C5" s="7">
        <f>SUM(C7:C10)</f>
        <v>557744</v>
      </c>
      <c r="D5" s="11" t="s">
        <v>7</v>
      </c>
      <c r="E5" s="11" t="s">
        <v>15</v>
      </c>
      <c r="F5" s="11">
        <v>4500</v>
      </c>
      <c r="G5" s="10">
        <f>C5/F5</f>
        <v>123.94311111111111</v>
      </c>
      <c r="H5" s="39">
        <f>350*4500-2380-6749</f>
        <v>1565871</v>
      </c>
    </row>
    <row r="6" spans="1:12" s="6" customFormat="1" ht="37.5" customHeight="1" x14ac:dyDescent="0.25">
      <c r="A6" s="41"/>
      <c r="B6" s="8" t="s">
        <v>29</v>
      </c>
      <c r="C6" s="7"/>
      <c r="D6" s="11"/>
      <c r="E6" s="11"/>
      <c r="F6" s="11"/>
      <c r="G6" s="10"/>
      <c r="H6" s="42"/>
    </row>
    <row r="7" spans="1:12" s="20" customFormat="1" ht="37.5" customHeight="1" x14ac:dyDescent="0.25">
      <c r="A7" s="41"/>
      <c r="B7" s="25" t="s">
        <v>28</v>
      </c>
      <c r="C7" s="24">
        <f>6000*12+14000*12</f>
        <v>240000</v>
      </c>
      <c r="D7" s="23"/>
      <c r="E7" s="23"/>
      <c r="F7" s="23"/>
      <c r="G7" s="22"/>
      <c r="H7" s="42"/>
      <c r="I7" s="21"/>
      <c r="J7" s="21"/>
      <c r="L7" s="21"/>
    </row>
    <row r="8" spans="1:12" s="20" customFormat="1" ht="37.5" customHeight="1" x14ac:dyDescent="0.25">
      <c r="A8" s="41"/>
      <c r="B8" s="25" t="s">
        <v>27</v>
      </c>
      <c r="C8" s="24">
        <f>20000*12</f>
        <v>240000</v>
      </c>
      <c r="D8" s="23"/>
      <c r="E8" s="23"/>
      <c r="F8" s="23"/>
      <c r="G8" s="22"/>
      <c r="H8" s="42"/>
      <c r="J8" s="21"/>
    </row>
    <row r="9" spans="1:12" s="20" customFormat="1" ht="37.5" customHeight="1" x14ac:dyDescent="0.25">
      <c r="A9" s="41"/>
      <c r="B9" s="25" t="s">
        <v>26</v>
      </c>
      <c r="C9" s="24">
        <f>14000*4</f>
        <v>56000</v>
      </c>
      <c r="D9" s="23"/>
      <c r="E9" s="23"/>
      <c r="F9" s="23"/>
      <c r="G9" s="22"/>
      <c r="H9" s="42"/>
      <c r="J9" s="21"/>
    </row>
    <row r="10" spans="1:12" s="20" customFormat="1" ht="37.5" customHeight="1" x14ac:dyDescent="0.25">
      <c r="A10" s="41"/>
      <c r="B10" s="25" t="s">
        <v>25</v>
      </c>
      <c r="C10" s="24">
        <f>6000*12*0.302</f>
        <v>21744</v>
      </c>
      <c r="D10" s="23"/>
      <c r="E10" s="23"/>
      <c r="F10" s="23"/>
      <c r="G10" s="22"/>
      <c r="H10" s="42"/>
      <c r="J10" s="21"/>
    </row>
    <row r="11" spans="1:12" s="6" customFormat="1" ht="37.5" customHeight="1" x14ac:dyDescent="0.25">
      <c r="A11" s="9">
        <v>2</v>
      </c>
      <c r="B11" s="8" t="s">
        <v>47</v>
      </c>
      <c r="C11" s="7">
        <v>5000</v>
      </c>
      <c r="D11" s="11" t="s">
        <v>7</v>
      </c>
      <c r="E11" s="11" t="s">
        <v>15</v>
      </c>
      <c r="F11" s="11">
        <v>4500</v>
      </c>
      <c r="G11" s="10">
        <f t="shared" ref="G11:G21" si="0">C11/F11</f>
        <v>1.1111111111111112</v>
      </c>
      <c r="H11" s="42"/>
      <c r="J11" s="19"/>
    </row>
    <row r="12" spans="1:12" s="6" customFormat="1" ht="37.5" customHeight="1" x14ac:dyDescent="0.25">
      <c r="A12" s="34">
        <v>3</v>
      </c>
      <c r="B12" s="8" t="s">
        <v>24</v>
      </c>
      <c r="C12" s="7">
        <f>24000*12</f>
        <v>288000</v>
      </c>
      <c r="D12" s="11" t="s">
        <v>7</v>
      </c>
      <c r="E12" s="11" t="s">
        <v>15</v>
      </c>
      <c r="F12" s="11">
        <v>4500</v>
      </c>
      <c r="G12" s="10">
        <f t="shared" ref="G12" si="1">C12/F12</f>
        <v>64</v>
      </c>
      <c r="H12" s="42"/>
      <c r="J12" s="19"/>
    </row>
    <row r="13" spans="1:12" s="6" customFormat="1" ht="37.5" customHeight="1" x14ac:dyDescent="0.25">
      <c r="A13" s="9">
        <v>4</v>
      </c>
      <c r="B13" s="8" t="s">
        <v>23</v>
      </c>
      <c r="C13" s="7">
        <f>1000*12+500*12+1500*12</f>
        <v>36000</v>
      </c>
      <c r="D13" s="11" t="s">
        <v>7</v>
      </c>
      <c r="E13" s="11" t="s">
        <v>15</v>
      </c>
      <c r="F13" s="11">
        <v>4500</v>
      </c>
      <c r="G13" s="10">
        <f t="shared" si="0"/>
        <v>8</v>
      </c>
      <c r="H13" s="42"/>
    </row>
    <row r="14" spans="1:12" s="6" customFormat="1" ht="37.5" customHeight="1" x14ac:dyDescent="0.25">
      <c r="A14" s="9">
        <v>5</v>
      </c>
      <c r="B14" s="8" t="s">
        <v>42</v>
      </c>
      <c r="C14" s="7">
        <f>(1990+99)*12</f>
        <v>25068</v>
      </c>
      <c r="D14" s="11" t="s">
        <v>7</v>
      </c>
      <c r="E14" s="11" t="s">
        <v>15</v>
      </c>
      <c r="F14" s="11">
        <v>4500</v>
      </c>
      <c r="G14" s="10">
        <f t="shared" si="0"/>
        <v>5.5706666666666669</v>
      </c>
      <c r="H14" s="42"/>
    </row>
    <row r="15" spans="1:12" s="6" customFormat="1" ht="37.5" customHeight="1" x14ac:dyDescent="0.25">
      <c r="A15" s="9">
        <v>6</v>
      </c>
      <c r="B15" s="8" t="s">
        <v>17</v>
      </c>
      <c r="C15" s="7">
        <f>1350000*2.3%</f>
        <v>31050</v>
      </c>
      <c r="D15" s="11" t="s">
        <v>7</v>
      </c>
      <c r="E15" s="11" t="s">
        <v>15</v>
      </c>
      <c r="F15" s="11">
        <v>4500</v>
      </c>
      <c r="G15" s="10">
        <f t="shared" si="0"/>
        <v>6.9</v>
      </c>
      <c r="H15" s="42"/>
    </row>
    <row r="16" spans="1:12" s="6" customFormat="1" ht="37.5" customHeight="1" x14ac:dyDescent="0.25">
      <c r="A16" s="9">
        <v>7</v>
      </c>
      <c r="B16" s="8" t="s">
        <v>22</v>
      </c>
      <c r="C16" s="7">
        <v>8000</v>
      </c>
      <c r="D16" s="11" t="s">
        <v>7</v>
      </c>
      <c r="E16" s="11" t="s">
        <v>15</v>
      </c>
      <c r="F16" s="11">
        <v>4500</v>
      </c>
      <c r="G16" s="10">
        <f t="shared" si="0"/>
        <v>1.7777777777777777</v>
      </c>
      <c r="H16" s="42"/>
    </row>
    <row r="17" spans="1:11" s="6" customFormat="1" ht="37.5" customHeight="1" x14ac:dyDescent="0.25">
      <c r="A17" s="9">
        <v>8</v>
      </c>
      <c r="B17" s="8" t="s">
        <v>21</v>
      </c>
      <c r="C17" s="7">
        <v>5000</v>
      </c>
      <c r="D17" s="11" t="s">
        <v>7</v>
      </c>
      <c r="E17" s="11" t="s">
        <v>15</v>
      </c>
      <c r="F17" s="11">
        <v>4500</v>
      </c>
      <c r="G17" s="10">
        <f t="shared" si="0"/>
        <v>1.1111111111111112</v>
      </c>
      <c r="H17" s="42"/>
    </row>
    <row r="18" spans="1:11" s="6" customFormat="1" ht="37.5" customHeight="1" x14ac:dyDescent="0.25">
      <c r="A18" s="9">
        <v>9</v>
      </c>
      <c r="B18" s="8" t="s">
        <v>38</v>
      </c>
      <c r="C18" s="7">
        <f>13600*35</f>
        <v>476000</v>
      </c>
      <c r="D18" s="11" t="s">
        <v>7</v>
      </c>
      <c r="E18" s="11" t="s">
        <v>15</v>
      </c>
      <c r="F18" s="11">
        <v>4500</v>
      </c>
      <c r="G18" s="10">
        <f t="shared" si="0"/>
        <v>105.77777777777777</v>
      </c>
      <c r="H18" s="42"/>
      <c r="I18" s="6" t="s">
        <v>35</v>
      </c>
      <c r="J18" s="6" t="str">
        <f>I18</f>
        <v>40*13600</v>
      </c>
    </row>
    <row r="19" spans="1:11" s="6" customFormat="1" ht="37.5" customHeight="1" x14ac:dyDescent="0.25">
      <c r="A19" s="9">
        <v>10</v>
      </c>
      <c r="B19" s="8" t="s">
        <v>34</v>
      </c>
      <c r="C19" s="7">
        <v>25000</v>
      </c>
      <c r="D19" s="11" t="s">
        <v>7</v>
      </c>
      <c r="E19" s="11" t="s">
        <v>15</v>
      </c>
      <c r="F19" s="11">
        <v>4500</v>
      </c>
      <c r="G19" s="10">
        <f t="shared" si="0"/>
        <v>5.5555555555555554</v>
      </c>
      <c r="H19" s="42"/>
      <c r="J19" s="6">
        <f>32*13600</f>
        <v>435200</v>
      </c>
      <c r="K19" s="6">
        <f>150000/4500</f>
        <v>33.333333333333336</v>
      </c>
    </row>
    <row r="20" spans="1:11" s="6" customFormat="1" ht="37.5" customHeight="1" x14ac:dyDescent="0.25">
      <c r="A20" s="9">
        <v>11</v>
      </c>
      <c r="B20" s="8" t="s">
        <v>20</v>
      </c>
      <c r="C20" s="7">
        <v>3000</v>
      </c>
      <c r="D20" s="11" t="s">
        <v>7</v>
      </c>
      <c r="E20" s="11" t="s">
        <v>15</v>
      </c>
      <c r="F20" s="11">
        <v>4500</v>
      </c>
      <c r="G20" s="10">
        <f t="shared" si="0"/>
        <v>0.66666666666666663</v>
      </c>
      <c r="H20" s="42"/>
    </row>
    <row r="21" spans="1:11" s="6" customFormat="1" ht="37.5" customHeight="1" x14ac:dyDescent="0.25">
      <c r="A21" s="9">
        <v>12</v>
      </c>
      <c r="B21" s="8" t="s">
        <v>43</v>
      </c>
      <c r="C21" s="7">
        <v>7000</v>
      </c>
      <c r="D21" s="11" t="s">
        <v>7</v>
      </c>
      <c r="E21" s="11" t="s">
        <v>15</v>
      </c>
      <c r="F21" s="11">
        <v>4500</v>
      </c>
      <c r="G21" s="10">
        <f t="shared" si="0"/>
        <v>1.5555555555555556</v>
      </c>
      <c r="H21" s="42"/>
      <c r="I21" s="32">
        <f>SUM(C11:C23)+C5</f>
        <v>1582862</v>
      </c>
    </row>
    <row r="22" spans="1:11" s="6" customFormat="1" ht="37.5" customHeight="1" x14ac:dyDescent="0.25">
      <c r="A22" s="30">
        <v>13</v>
      </c>
      <c r="B22" s="8" t="s">
        <v>36</v>
      </c>
      <c r="C22" s="7">
        <v>78000</v>
      </c>
      <c r="D22" s="11" t="s">
        <v>7</v>
      </c>
      <c r="E22" s="11" t="s">
        <v>15</v>
      </c>
      <c r="F22" s="11">
        <v>4500</v>
      </c>
      <c r="G22" s="10">
        <f t="shared" ref="G22" si="2">C22/F22</f>
        <v>17.333333333333332</v>
      </c>
      <c r="H22" s="40"/>
      <c r="I22" s="32">
        <f>H5+H23</f>
        <v>1583235</v>
      </c>
    </row>
    <row r="23" spans="1:11" s="6" customFormat="1" ht="37.5" customHeight="1" x14ac:dyDescent="0.25">
      <c r="A23" s="30">
        <v>14</v>
      </c>
      <c r="B23" s="8" t="s">
        <v>37</v>
      </c>
      <c r="C23" s="7">
        <v>38000</v>
      </c>
      <c r="D23" s="11" t="s">
        <v>7</v>
      </c>
      <c r="E23" s="11" t="s">
        <v>15</v>
      </c>
      <c r="F23" s="11">
        <v>4500</v>
      </c>
      <c r="G23" s="10">
        <f t="shared" ref="G23" si="3">C23/F23</f>
        <v>8.4444444444444446</v>
      </c>
      <c r="H23" s="29">
        <f>500*12+5435-3200+6749+2380</f>
        <v>17364</v>
      </c>
      <c r="I23" s="32"/>
    </row>
    <row r="24" spans="1:11" s="6" customFormat="1" ht="37.5" customHeight="1" x14ac:dyDescent="0.25">
      <c r="A24" s="36" t="s">
        <v>58</v>
      </c>
      <c r="B24" s="37"/>
      <c r="C24" s="38"/>
      <c r="D24" s="11"/>
      <c r="E24" s="11"/>
      <c r="F24" s="11"/>
      <c r="G24" s="10"/>
      <c r="H24" s="15"/>
    </row>
    <row r="25" spans="1:11" s="6" customFormat="1" ht="37.5" customHeight="1" x14ac:dyDescent="0.25">
      <c r="A25" s="35">
        <v>15</v>
      </c>
      <c r="B25" s="8" t="s">
        <v>60</v>
      </c>
      <c r="C25" s="7">
        <v>1250000</v>
      </c>
      <c r="D25" s="11" t="s">
        <v>7</v>
      </c>
      <c r="E25" s="11" t="s">
        <v>15</v>
      </c>
      <c r="F25" s="11">
        <v>4500</v>
      </c>
      <c r="G25" s="10">
        <f>C25/F25</f>
        <v>277.77777777777777</v>
      </c>
      <c r="H25" s="39">
        <f>1890000+373000</f>
        <v>2263000</v>
      </c>
    </row>
    <row r="26" spans="1:11" s="6" customFormat="1" ht="37.5" customHeight="1" x14ac:dyDescent="0.25">
      <c r="A26" s="35">
        <v>16</v>
      </c>
      <c r="B26" s="8" t="s">
        <v>61</v>
      </c>
      <c r="C26" s="7">
        <v>640000</v>
      </c>
      <c r="D26" s="11"/>
      <c r="E26" s="11"/>
      <c r="F26" s="11"/>
      <c r="G26" s="10"/>
      <c r="H26" s="42"/>
    </row>
    <row r="27" spans="1:11" s="6" customFormat="1" ht="37.5" customHeight="1" x14ac:dyDescent="0.25">
      <c r="A27" s="35">
        <v>17</v>
      </c>
      <c r="B27" s="8" t="s">
        <v>62</v>
      </c>
      <c r="C27" s="7">
        <v>90000</v>
      </c>
      <c r="D27" s="11" t="s">
        <v>7</v>
      </c>
      <c r="E27" s="11" t="s">
        <v>15</v>
      </c>
      <c r="F27" s="11">
        <v>4500</v>
      </c>
      <c r="G27" s="10">
        <f>C27/F27</f>
        <v>20</v>
      </c>
      <c r="H27" s="42"/>
    </row>
    <row r="28" spans="1:11" s="6" customFormat="1" ht="37.5" customHeight="1" x14ac:dyDescent="0.25">
      <c r="A28" s="35">
        <v>18</v>
      </c>
      <c r="B28" s="8" t="s">
        <v>63</v>
      </c>
      <c r="C28" s="7">
        <v>89000</v>
      </c>
      <c r="D28" s="11"/>
      <c r="E28" s="11"/>
      <c r="F28" s="11"/>
      <c r="G28" s="10"/>
      <c r="H28" s="42"/>
    </row>
    <row r="29" spans="1:11" s="6" customFormat="1" ht="37.5" customHeight="1" x14ac:dyDescent="0.25">
      <c r="A29" s="35">
        <v>19</v>
      </c>
      <c r="B29" s="8" t="s">
        <v>64</v>
      </c>
      <c r="C29" s="7">
        <v>80000</v>
      </c>
      <c r="D29" s="11" t="s">
        <v>7</v>
      </c>
      <c r="E29" s="11" t="s">
        <v>15</v>
      </c>
      <c r="F29" s="11">
        <v>4500</v>
      </c>
      <c r="G29" s="10">
        <f>C29/F29</f>
        <v>17.777777777777779</v>
      </c>
      <c r="H29" s="42"/>
    </row>
    <row r="30" spans="1:11" s="6" customFormat="1" ht="37.5" customHeight="1" x14ac:dyDescent="0.25">
      <c r="A30" s="35">
        <v>20</v>
      </c>
      <c r="B30" s="8" t="s">
        <v>65</v>
      </c>
      <c r="C30" s="7">
        <v>60000</v>
      </c>
      <c r="D30" s="11"/>
      <c r="E30" s="11"/>
      <c r="F30" s="11"/>
      <c r="G30" s="10"/>
      <c r="H30" s="42"/>
    </row>
    <row r="31" spans="1:11" s="6" customFormat="1" ht="37.5" customHeight="1" x14ac:dyDescent="0.25">
      <c r="A31" s="35">
        <v>21</v>
      </c>
      <c r="B31" s="8" t="s">
        <v>17</v>
      </c>
      <c r="C31" s="7">
        <v>54000</v>
      </c>
      <c r="D31" s="11"/>
      <c r="E31" s="11"/>
      <c r="F31" s="11"/>
      <c r="G31" s="10"/>
      <c r="H31" s="40"/>
    </row>
    <row r="32" spans="1:11" s="6" customFormat="1" ht="37.5" customHeight="1" x14ac:dyDescent="0.25">
      <c r="A32" s="36"/>
      <c r="B32" s="37"/>
      <c r="C32" s="38"/>
      <c r="D32" s="11"/>
      <c r="E32" s="11"/>
      <c r="F32" s="11"/>
      <c r="G32" s="10"/>
      <c r="H32" s="15"/>
    </row>
    <row r="33" spans="1:11" s="6" customFormat="1" ht="37.5" customHeight="1" x14ac:dyDescent="0.25">
      <c r="A33" s="9">
        <v>22</v>
      </c>
      <c r="B33" s="8" t="s">
        <v>6</v>
      </c>
      <c r="C33" s="7">
        <f>155000*12</f>
        <v>1860000</v>
      </c>
      <c r="D33" s="11" t="s">
        <v>7</v>
      </c>
      <c r="E33" s="11" t="s">
        <v>15</v>
      </c>
      <c r="F33" s="11">
        <v>4500</v>
      </c>
      <c r="G33" s="10">
        <f>C33/F33</f>
        <v>413.33333333333331</v>
      </c>
      <c r="H33" s="39">
        <f>673*2800+10*1400</f>
        <v>1898400</v>
      </c>
      <c r="I33" s="32">
        <f>H33-C34</f>
        <v>1860000</v>
      </c>
      <c r="J33" s="6">
        <f>I33/12</f>
        <v>155000</v>
      </c>
    </row>
    <row r="34" spans="1:11" s="6" customFormat="1" ht="37.5" customHeight="1" x14ac:dyDescent="0.25">
      <c r="A34" s="9">
        <v>23</v>
      </c>
      <c r="B34" s="8" t="s">
        <v>17</v>
      </c>
      <c r="C34" s="7">
        <f>H33-C33</f>
        <v>38400</v>
      </c>
      <c r="D34" s="11"/>
      <c r="E34" s="11"/>
      <c r="F34" s="11"/>
      <c r="G34" s="10"/>
      <c r="H34" s="40"/>
      <c r="I34" s="6">
        <f>1717000/660</f>
        <v>2601.5151515151515</v>
      </c>
      <c r="J34" s="32">
        <f>H33-C33-C34</f>
        <v>0</v>
      </c>
      <c r="K34" s="6">
        <f>300/2500</f>
        <v>0.12</v>
      </c>
    </row>
    <row r="35" spans="1:11" s="6" customFormat="1" ht="37.5" customHeight="1" x14ac:dyDescent="0.25">
      <c r="A35" s="9">
        <v>24</v>
      </c>
      <c r="B35" s="8" t="s">
        <v>5</v>
      </c>
      <c r="C35" s="7">
        <f>H35-C36</f>
        <v>463684.2</v>
      </c>
      <c r="D35" s="11" t="s">
        <v>7</v>
      </c>
      <c r="E35" s="11" t="s">
        <v>15</v>
      </c>
      <c r="F35" s="11">
        <v>4500</v>
      </c>
      <c r="G35" s="10">
        <f>C35/F35</f>
        <v>103.04093333333334</v>
      </c>
      <c r="H35" s="39">
        <f>700*678</f>
        <v>474600</v>
      </c>
    </row>
    <row r="36" spans="1:11" s="6" customFormat="1" ht="37.5" customHeight="1" x14ac:dyDescent="0.25">
      <c r="A36" s="9">
        <v>25</v>
      </c>
      <c r="B36" s="8" t="s">
        <v>17</v>
      </c>
      <c r="C36" s="7">
        <f>H35*0.023</f>
        <v>10915.8</v>
      </c>
      <c r="D36" s="11" t="s">
        <v>7</v>
      </c>
      <c r="E36" s="11" t="s">
        <v>15</v>
      </c>
      <c r="F36" s="11">
        <v>4500</v>
      </c>
      <c r="G36" s="10">
        <f>C36/F36</f>
        <v>2.4257333333333331</v>
      </c>
      <c r="H36" s="40"/>
    </row>
    <row r="37" spans="1:11" s="6" customFormat="1" ht="37.5" customHeight="1" x14ac:dyDescent="0.25">
      <c r="A37" s="18"/>
      <c r="B37" s="17"/>
      <c r="C37" s="16"/>
      <c r="D37" s="11"/>
      <c r="E37" s="11"/>
      <c r="F37" s="11"/>
      <c r="G37" s="10"/>
      <c r="H37" s="15"/>
    </row>
    <row r="38" spans="1:11" s="6" customFormat="1" ht="37.5" customHeight="1" x14ac:dyDescent="0.25">
      <c r="A38" s="36" t="s">
        <v>19</v>
      </c>
      <c r="B38" s="37"/>
      <c r="C38" s="38"/>
      <c r="D38" s="11"/>
      <c r="E38" s="11"/>
      <c r="F38" s="11"/>
      <c r="G38" s="10"/>
      <c r="H38" s="15"/>
    </row>
    <row r="39" spans="1:11" s="6" customFormat="1" ht="37.5" customHeight="1" x14ac:dyDescent="0.25">
      <c r="A39" s="9">
        <v>26</v>
      </c>
      <c r="B39" s="8" t="s">
        <v>18</v>
      </c>
      <c r="C39" s="7">
        <f>H39-C40</f>
        <v>333645.5</v>
      </c>
      <c r="D39" s="11" t="s">
        <v>7</v>
      </c>
      <c r="E39" s="11" t="s">
        <v>15</v>
      </c>
      <c r="F39" s="11">
        <v>4500</v>
      </c>
      <c r="G39" s="10">
        <f>C39/F39</f>
        <v>74.143444444444441</v>
      </c>
      <c r="H39" s="39">
        <f>500*683</f>
        <v>341500</v>
      </c>
    </row>
    <row r="40" spans="1:11" s="6" customFormat="1" ht="37.5" customHeight="1" x14ac:dyDescent="0.25">
      <c r="A40" s="9">
        <v>27</v>
      </c>
      <c r="B40" s="8" t="s">
        <v>17</v>
      </c>
      <c r="C40" s="7">
        <f>H39*0.023</f>
        <v>7854.5</v>
      </c>
      <c r="D40" s="11"/>
      <c r="E40" s="11"/>
      <c r="F40" s="11"/>
      <c r="G40" s="10"/>
      <c r="H40" s="40"/>
    </row>
    <row r="41" spans="1:11" s="6" customFormat="1" ht="37.5" customHeight="1" x14ac:dyDescent="0.25">
      <c r="A41" s="18"/>
      <c r="B41" s="17"/>
      <c r="C41" s="16"/>
      <c r="D41" s="11"/>
      <c r="E41" s="11"/>
      <c r="F41" s="11"/>
      <c r="G41" s="10"/>
      <c r="H41" s="15"/>
    </row>
    <row r="42" spans="1:11" s="6" customFormat="1" ht="37.5" customHeight="1" x14ac:dyDescent="0.25">
      <c r="A42" s="9">
        <v>28</v>
      </c>
      <c r="B42" s="8" t="s">
        <v>16</v>
      </c>
      <c r="C42" s="7">
        <f>C40+C39+C36+C35+C34+C33+C21+C20+C19+C18+C17+C16+C15+C14+C13+C11+C5+C22+C23+C12+C25+C26+C27+C28+C29+C30+C31</f>
        <v>6560362</v>
      </c>
      <c r="D42" s="11" t="s">
        <v>7</v>
      </c>
      <c r="E42" s="11" t="s">
        <v>15</v>
      </c>
      <c r="F42" s="11">
        <v>4500</v>
      </c>
      <c r="G42" s="10">
        <f>C42/F42</f>
        <v>1457.8582222222221</v>
      </c>
      <c r="H42" s="15">
        <f>SUM(H5:H41)</f>
        <v>6560735</v>
      </c>
    </row>
    <row r="43" spans="1:11" x14ac:dyDescent="0.25">
      <c r="C43" s="5"/>
    </row>
    <row r="44" spans="1:11" x14ac:dyDescent="0.25">
      <c r="C44" s="5"/>
    </row>
  </sheetData>
  <mergeCells count="12">
    <mergeCell ref="A3:H3"/>
    <mergeCell ref="B1:H1"/>
    <mergeCell ref="B2:H2"/>
    <mergeCell ref="H5:H22"/>
    <mergeCell ref="A38:C38"/>
    <mergeCell ref="H39:H40"/>
    <mergeCell ref="H35:H36"/>
    <mergeCell ref="H33:H34"/>
    <mergeCell ref="A5:A10"/>
    <mergeCell ref="A32:C32"/>
    <mergeCell ref="A24:C24"/>
    <mergeCell ref="H25:H31"/>
  </mergeCells>
  <pageMargins left="0.70866141732283472" right="0.70866141732283472" top="0.74803149606299213" bottom="0.74803149606299213" header="0.31496062992125984" footer="0.31496062992125984"/>
  <pageSetup paperSize="9" scale="4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5"/>
  <sheetViews>
    <sheetView tabSelected="1" topLeftCell="A10" zoomScale="78" zoomScaleNormal="78" workbookViewId="0">
      <selection activeCell="C22" sqref="C22"/>
    </sheetView>
  </sheetViews>
  <sheetFormatPr defaultRowHeight="15.75" x14ac:dyDescent="0.25"/>
  <cols>
    <col min="1" max="1" width="8.140625" style="1" customWidth="1"/>
    <col min="2" max="2" width="113.28515625" style="1" customWidth="1"/>
    <col min="3" max="3" width="18" style="2" customWidth="1"/>
    <col min="4" max="4" width="15.140625" style="1" customWidth="1"/>
    <col min="5" max="5" width="24.140625" style="1" customWidth="1"/>
    <col min="6" max="6" width="19.5703125" style="1" customWidth="1"/>
    <col min="7" max="7" width="10" style="1" bestFit="1" customWidth="1"/>
    <col min="8" max="8" width="9.140625" style="1"/>
    <col min="9" max="9" width="11.42578125" style="1" bestFit="1" customWidth="1"/>
    <col min="10" max="16384" width="9.140625" style="1"/>
  </cols>
  <sheetData>
    <row r="1" spans="1:6" ht="18.75" x14ac:dyDescent="0.3">
      <c r="B1" s="45" t="s">
        <v>67</v>
      </c>
      <c r="C1" s="45"/>
      <c r="D1" s="45"/>
      <c r="E1" s="45"/>
      <c r="F1" s="45"/>
    </row>
    <row r="2" spans="1:6" ht="19.5" x14ac:dyDescent="0.3">
      <c r="B2" s="44" t="s">
        <v>66</v>
      </c>
      <c r="C2" s="44"/>
      <c r="D2" s="44"/>
      <c r="E2" s="44"/>
      <c r="F2" s="44"/>
    </row>
    <row r="3" spans="1:6" s="14" customFormat="1" ht="56.25" customHeight="1" x14ac:dyDescent="0.3">
      <c r="A3" s="43" t="s">
        <v>46</v>
      </c>
      <c r="B3" s="43"/>
      <c r="C3" s="43"/>
      <c r="D3" s="43"/>
      <c r="E3" s="43"/>
      <c r="F3" s="43"/>
    </row>
    <row r="4" spans="1:6" s="12" customFormat="1" ht="65.25" customHeight="1" x14ac:dyDescent="0.25">
      <c r="A4" s="13" t="s">
        <v>14</v>
      </c>
      <c r="B4" s="13" t="s">
        <v>13</v>
      </c>
      <c r="C4" s="13" t="s">
        <v>12</v>
      </c>
      <c r="D4" s="13" t="s">
        <v>11</v>
      </c>
      <c r="E4" s="13" t="s">
        <v>10</v>
      </c>
      <c r="F4" s="13" t="s">
        <v>9</v>
      </c>
    </row>
    <row r="5" spans="1:6" s="6" customFormat="1" ht="37.5" customHeight="1" x14ac:dyDescent="0.25">
      <c r="A5" s="9">
        <v>1</v>
      </c>
      <c r="B5" s="8" t="s">
        <v>8</v>
      </c>
      <c r="C5" s="7">
        <f>'2021 Смета членские'!H5:H22</f>
        <v>1565871</v>
      </c>
      <c r="D5" s="11" t="s">
        <v>7</v>
      </c>
      <c r="E5" s="10">
        <f>C5/350</f>
        <v>4473.9171428571426</v>
      </c>
      <c r="F5" s="10">
        <f>C5/E5</f>
        <v>350</v>
      </c>
    </row>
    <row r="6" spans="1:6" s="6" customFormat="1" ht="37.5" customHeight="1" x14ac:dyDescent="0.25">
      <c r="A6" s="9">
        <v>2</v>
      </c>
      <c r="B6" s="8" t="s">
        <v>6</v>
      </c>
      <c r="C6" s="7">
        <v>1898400</v>
      </c>
      <c r="D6" s="11" t="s">
        <v>3</v>
      </c>
      <c r="E6" s="11">
        <f>C6/F6</f>
        <v>678</v>
      </c>
      <c r="F6" s="10">
        <v>2800</v>
      </c>
    </row>
    <row r="7" spans="1:6" s="6" customFormat="1" ht="37.5" customHeight="1" x14ac:dyDescent="0.25">
      <c r="A7" s="9">
        <v>3</v>
      </c>
      <c r="B7" s="8" t="s">
        <v>5</v>
      </c>
      <c r="C7" s="7">
        <v>474600</v>
      </c>
      <c r="D7" s="11" t="s">
        <v>3</v>
      </c>
      <c r="E7" s="11">
        <v>678</v>
      </c>
      <c r="F7" s="10">
        <v>700</v>
      </c>
    </row>
    <row r="8" spans="1:6" s="6" customFormat="1" ht="37.5" customHeight="1" x14ac:dyDescent="0.25">
      <c r="A8" s="9">
        <v>4</v>
      </c>
      <c r="B8" s="8" t="s">
        <v>4</v>
      </c>
      <c r="C8" s="7">
        <v>341500</v>
      </c>
      <c r="D8" s="11" t="s">
        <v>3</v>
      </c>
      <c r="E8" s="11">
        <v>683</v>
      </c>
      <c r="F8" s="10">
        <v>500</v>
      </c>
    </row>
    <row r="9" spans="1:6" s="6" customFormat="1" ht="37.5" customHeight="1" x14ac:dyDescent="0.25">
      <c r="A9" s="31">
        <v>5</v>
      </c>
      <c r="B9" s="8" t="s">
        <v>39</v>
      </c>
      <c r="C9" s="7">
        <f>'2021 Смета членские'!H23</f>
        <v>17364</v>
      </c>
      <c r="D9" s="11" t="s">
        <v>15</v>
      </c>
      <c r="E9" s="11" t="s">
        <v>15</v>
      </c>
      <c r="F9" s="10">
        <v>500</v>
      </c>
    </row>
    <row r="10" spans="1:6" s="6" customFormat="1" ht="37.5" customHeight="1" x14ac:dyDescent="0.25">
      <c r="A10" s="9">
        <v>6</v>
      </c>
      <c r="B10" s="8" t="s">
        <v>2</v>
      </c>
      <c r="C10" s="7">
        <v>1250000</v>
      </c>
      <c r="D10" s="46" t="s">
        <v>49</v>
      </c>
      <c r="E10" s="47"/>
      <c r="F10" s="7" t="s">
        <v>1</v>
      </c>
    </row>
    <row r="11" spans="1:6" s="6" customFormat="1" ht="37.5" customHeight="1" x14ac:dyDescent="0.25">
      <c r="A11" s="33">
        <v>7</v>
      </c>
      <c r="B11" s="8" t="s">
        <v>48</v>
      </c>
      <c r="C11" s="7">
        <v>1013000</v>
      </c>
      <c r="D11" s="46" t="s">
        <v>50</v>
      </c>
      <c r="E11" s="47"/>
      <c r="F11" s="10" t="s">
        <v>15</v>
      </c>
    </row>
    <row r="12" spans="1:6" s="6" customFormat="1" ht="37.5" customHeight="1" x14ac:dyDescent="0.25">
      <c r="A12" s="34">
        <v>8</v>
      </c>
      <c r="B12" s="8" t="s">
        <v>40</v>
      </c>
      <c r="C12" s="7" t="s">
        <v>15</v>
      </c>
      <c r="D12" s="11" t="s">
        <v>41</v>
      </c>
      <c r="E12" s="11" t="s">
        <v>15</v>
      </c>
      <c r="F12" s="10">
        <v>5</v>
      </c>
    </row>
    <row r="13" spans="1:6" x14ac:dyDescent="0.25">
      <c r="C13" s="5"/>
    </row>
    <row r="14" spans="1:6" ht="18.75" x14ac:dyDescent="0.3">
      <c r="B14" s="48" t="s">
        <v>69</v>
      </c>
      <c r="C14" s="48"/>
      <c r="D14" s="48"/>
      <c r="E14" s="48"/>
      <c r="F14" s="48"/>
    </row>
    <row r="15" spans="1:6" ht="18.75" x14ac:dyDescent="0.3">
      <c r="B15" s="49"/>
      <c r="C15" s="49"/>
      <c r="D15" s="49"/>
      <c r="E15" s="49"/>
      <c r="F15" s="49" t="s">
        <v>66</v>
      </c>
    </row>
    <row r="16" spans="1:6" s="3" customFormat="1" ht="19.5" x14ac:dyDescent="0.3">
      <c r="B16" s="3" t="s">
        <v>0</v>
      </c>
      <c r="C16" s="4"/>
    </row>
    <row r="17" spans="1:3" s="3" customFormat="1" ht="19.5" x14ac:dyDescent="0.3">
      <c r="A17" s="3">
        <v>1</v>
      </c>
      <c r="B17" s="3" t="s">
        <v>51</v>
      </c>
      <c r="C17" s="4"/>
    </row>
    <row r="18" spans="1:3" s="3" customFormat="1" ht="19.5" x14ac:dyDescent="0.3">
      <c r="A18" s="3">
        <v>2</v>
      </c>
      <c r="B18" s="3" t="s">
        <v>52</v>
      </c>
      <c r="C18" s="4"/>
    </row>
    <row r="19" spans="1:3" s="3" customFormat="1" ht="19.5" x14ac:dyDescent="0.3">
      <c r="B19" s="3" t="s">
        <v>53</v>
      </c>
      <c r="C19" s="4"/>
    </row>
    <row r="20" spans="1:3" s="3" customFormat="1" ht="19.5" x14ac:dyDescent="0.3">
      <c r="A20" s="3">
        <v>3</v>
      </c>
      <c r="B20" s="3" t="s">
        <v>54</v>
      </c>
      <c r="C20" s="4"/>
    </row>
    <row r="21" spans="1:3" s="3" customFormat="1" ht="19.5" x14ac:dyDescent="0.3">
      <c r="A21" s="3">
        <v>4</v>
      </c>
      <c r="B21" s="3" t="s">
        <v>55</v>
      </c>
      <c r="C21" s="4"/>
    </row>
    <row r="22" spans="1:3" s="3" customFormat="1" ht="19.5" x14ac:dyDescent="0.3">
      <c r="A22" s="3">
        <v>5</v>
      </c>
      <c r="B22" s="3" t="s">
        <v>56</v>
      </c>
      <c r="C22" s="4"/>
    </row>
    <row r="23" spans="1:3" s="3" customFormat="1" ht="19.5" x14ac:dyDescent="0.3">
      <c r="B23" s="3" t="s">
        <v>57</v>
      </c>
      <c r="C23" s="4"/>
    </row>
    <row r="24" spans="1:3" s="3" customFormat="1" ht="19.5" x14ac:dyDescent="0.3">
      <c r="A24" s="3">
        <v>6</v>
      </c>
      <c r="B24" s="3" t="s">
        <v>45</v>
      </c>
      <c r="C24" s="4"/>
    </row>
    <row r="25" spans="1:3" s="3" customFormat="1" ht="19.5" x14ac:dyDescent="0.3">
      <c r="C25" s="4"/>
    </row>
  </sheetData>
  <mergeCells count="6">
    <mergeCell ref="B14:F14"/>
    <mergeCell ref="B1:F1"/>
    <mergeCell ref="D11:E11"/>
    <mergeCell ref="D10:E10"/>
    <mergeCell ref="B2:F2"/>
    <mergeCell ref="A3:F3"/>
  </mergeCells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2021 Смета членские</vt:lpstr>
      <vt:lpstr>2021 ФЭО членские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2020-08-23T14:23:10Z</dcterms:modified>
</cp:coreProperties>
</file>